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600" windowHeight="8910" tabRatio="823" activeTab="1"/>
  </bookViews>
  <sheets>
    <sheet name="Med Rec ROI ADEs" sheetId="1" r:id="rId1"/>
    <sheet name="Med Rec ROI Readmissions" sheetId="2" r:id="rId2"/>
  </sheets>
  <definedNames>
    <definedName name="_xlnm.Print_Area" localSheetId="0">'Med Rec ROI ADEs'!$A$1:$H$55</definedName>
  </definedNames>
  <calcPr fullCalcOnLoad="1"/>
</workbook>
</file>

<file path=xl/sharedStrings.xml><?xml version="1.0" encoding="utf-8"?>
<sst xmlns="http://schemas.openxmlformats.org/spreadsheetml/2006/main" count="95" uniqueCount="67">
  <si>
    <t>Total Annual Net Savings (Cost)</t>
  </si>
  <si>
    <t>Total labor cost for all additional pharmacist medication reconciliation FTEs</t>
  </si>
  <si>
    <t>Year 0</t>
  </si>
  <si>
    <t>Capital Purchase</t>
  </si>
  <si>
    <t>Total Capital Expenses</t>
  </si>
  <si>
    <t>Ongoing Operating Expenses</t>
  </si>
  <si>
    <t>N/A</t>
  </si>
  <si>
    <t>Return on Investment (ROI) Analysis</t>
  </si>
  <si>
    <t>Remodeling - space for new clinical pharmacists</t>
  </si>
  <si>
    <t>Ongoing Savings</t>
  </si>
  <si>
    <t>Number of inpatient admissions per year</t>
  </si>
  <si>
    <t>Total avoided harmful medication errors per year</t>
  </si>
  <si>
    <t>Annual savings to hospital as a result of avoided harmful medication errors</t>
  </si>
  <si>
    <t>Time (in minutes) required per admission for pharmacist to complete a medication admission history and perform medication reconciliation</t>
  </si>
  <si>
    <t>Pharmacist FTE required per year to perform medication reconciliation</t>
  </si>
  <si>
    <t>Pharmacist hours required per year to perform medication reconciliation</t>
  </si>
  <si>
    <t>Pharmacist fringe benefit rate</t>
  </si>
  <si>
    <t>Total labor cost per pharmacist FTE</t>
  </si>
  <si>
    <t>Cumulative Net Savings  (Cost)</t>
  </si>
  <si>
    <t xml:space="preserve">Total Annual Savings Potential </t>
  </si>
  <si>
    <t>Other Advantages:</t>
  </si>
  <si>
    <t>- Reduced litigation expense for hospital.</t>
  </si>
  <si>
    <t>- Improved pharmacist, nurse and physician satisfaction, resulting in improved staff recruitment and retention.</t>
  </si>
  <si>
    <t>- Improved physician trust in clinical pharmacists, thus making future targeted pharmacist-lead drug cost reduction efforts more achievable.</t>
  </si>
  <si>
    <t>- Public relations benefit for the hospital.</t>
  </si>
  <si>
    <t>- Improved regulatory compliance.</t>
  </si>
  <si>
    <t>Total Annual Operating Expenses</t>
  </si>
  <si>
    <r>
      <t>% of avoided medication errors that would be harmful to the patient</t>
    </r>
    <r>
      <rPr>
        <vertAlign val="superscript"/>
        <sz val="16"/>
        <rFont val="Arial"/>
        <family val="2"/>
      </rPr>
      <t>A</t>
    </r>
  </si>
  <si>
    <r>
      <t>Cost of harmful medication error to hospita</t>
    </r>
    <r>
      <rPr>
        <sz val="16"/>
        <rFont val="Arial"/>
        <family val="2"/>
      </rPr>
      <t>l</t>
    </r>
    <r>
      <rPr>
        <vertAlign val="superscript"/>
        <sz val="16"/>
        <rFont val="Arial"/>
        <family val="2"/>
      </rPr>
      <t>B</t>
    </r>
  </si>
  <si>
    <r>
      <t>Pharmacist salary</t>
    </r>
    <r>
      <rPr>
        <vertAlign val="superscript"/>
        <sz val="16"/>
        <rFont val="Arial"/>
        <family val="2"/>
      </rPr>
      <t>C</t>
    </r>
  </si>
  <si>
    <t xml:space="preserve">    - Bates DW, Boyle DL, Vander Vliet MB, Schneider J, Leape L.  Relationship between medication errors and adverse drug events.  J Gen Intern Med 1995;10:199-205.</t>
  </si>
  <si>
    <t xml:space="preserve">    -  Bates DW, Cullen DJ, Laird N, Petersen LA, Small SD, Servi D, et al.  Incidence of adverse drug events and potential adverse drug events.  JAMA 1995;274:29-34.</t>
  </si>
  <si>
    <t>Additional pharmacist labor required for medication reconciliation</t>
  </si>
  <si>
    <r>
      <t>Adverse drug event (ADE) treatment costs avoided</t>
    </r>
    <r>
      <rPr>
        <vertAlign val="superscript"/>
        <sz val="16"/>
        <rFont val="Arial"/>
        <family val="2"/>
      </rPr>
      <t>1</t>
    </r>
  </si>
  <si>
    <t>1)</t>
  </si>
  <si>
    <t>2)</t>
  </si>
  <si>
    <t xml:space="preserve">    - Classen DC, Pestotnik SL, Evans RS, et al.  Adverse drug events in hospitalized patients: excess length of stay, extra costs, and attributable mortality.  JAMA 1997;277:301-6.</t>
  </si>
  <si>
    <r>
      <t xml:space="preserve">Table 2: Medication Reconciliation Model ROI </t>
    </r>
    <r>
      <rPr>
        <sz val="14"/>
        <rFont val="Arial"/>
        <family val="2"/>
      </rPr>
      <t>(NOTE: numbers inserted directly from Table 1)</t>
    </r>
  </si>
  <si>
    <t>Pharmacist FTE needed to add to budget to staff FTEs (benefit time, etc)</t>
  </si>
  <si>
    <t>Institution specific sensitivity analysis2</t>
  </si>
  <si>
    <t>% of patients that are high-risk using MARQUIS criteria</t>
  </si>
  <si>
    <t>Number of patients that would need pharmacist discharge counseling</t>
  </si>
  <si>
    <t>Expected proportion of 30-day readmissions due to ADEs that can be prevented by MARQUIS discharge counseling</t>
  </si>
  <si>
    <t>Number of 30-day readmissions that can be prevented per year</t>
  </si>
  <si>
    <r>
      <t>Readmission costs avoided</t>
    </r>
    <r>
      <rPr>
        <vertAlign val="superscript"/>
        <sz val="16"/>
        <rFont val="Arial"/>
        <family val="2"/>
      </rPr>
      <t>1</t>
    </r>
  </si>
  <si>
    <t>Additional pharmacist labor required for counseling</t>
  </si>
  <si>
    <t>ROI Analysis to Perform Medication Reconciliation Upon Patient Hospital Admission: Based on Inpatient ADE Reduction</t>
  </si>
  <si>
    <t>Additional ROI based on Readmission Reduction due to Counseling at Discharge</t>
  </si>
  <si>
    <r>
      <t xml:space="preserve">Table 2: Medication Counseling Model ROI </t>
    </r>
    <r>
      <rPr>
        <sz val="14"/>
        <rFont val="Arial"/>
        <family val="2"/>
      </rPr>
      <t>(NOTE: numbers inserted directly from Table 1)</t>
    </r>
  </si>
  <si>
    <t>Proportion of 30-day readmissions due to adverse drug events(A)</t>
  </si>
  <si>
    <t>Proportion of 30-day readmissions due to ADEs considered preventable or ameliorable(B)</t>
  </si>
  <si>
    <t>A. Based on PILL-CVD Study: Kripalani et al. Annals of Internal Medicine Jul 3 2012;157(1):1-10.</t>
  </si>
  <si>
    <t>B. Based on Forster et al. Ann Intern Med. Feb 4 2003;138(3):161-167.</t>
  </si>
  <si>
    <t xml:space="preserve">Cost of a readmission (e.g., under bundled payments and capitated contracts, not including VBP plus reduced risk of Medicare and MassHealth penalties) </t>
  </si>
  <si>
    <t>C. Based on Novant Health Care experience</t>
  </si>
  <si>
    <t>Time (in minutes) required per admission for pharmacist to complete high-intensity pharmacist counseling (C )</t>
  </si>
  <si>
    <t>Pharmacist salary</t>
  </si>
  <si>
    <r>
      <t>C.</t>
    </r>
    <r>
      <rPr>
        <sz val="11"/>
        <rFont val="Arial"/>
        <family val="2"/>
      </rPr>
      <t xml:space="preserve">   Salary rates vary per hospital.  This analysis assumes a 2% annualy salary increase.</t>
    </r>
  </si>
  <si>
    <t>% of errors that can be prevented by pharmacists</t>
  </si>
  <si>
    <t>Potential medication errors per year that can be avoided with improved pharmacist-conducted medication histories and reconciliation</t>
  </si>
  <si>
    <t>Average number of unintentional medication discrepancies in admission orders per patient based on MARQUIS Study</t>
  </si>
  <si>
    <r>
      <t>Table 1: ROI ASSUMPTIONS TABLE</t>
    </r>
    <r>
      <rPr>
        <sz val="11"/>
        <rFont val="Arial"/>
        <family val="2"/>
      </rPr>
      <t xml:space="preserve">  
The following assumptions are made about the "model" hospital.  These assumptions drive all cost figures in the ROI analysis table below.  Each hospital must provide its own information into this assumptions table to derive institution-specific estimates for the ROI analysis.  Updating the assumptions table will automatically revise figures in the ROI table.</t>
    </r>
  </si>
  <si>
    <r>
      <t xml:space="preserve">A. </t>
    </r>
    <r>
      <rPr>
        <sz val="11"/>
        <rFont val="Arial"/>
        <family val="2"/>
      </rPr>
      <t xml:space="preserve"> Literature demonstrates that 0.9% of medication errors (~1 in 100 errors) result in an adverse drug event.</t>
    </r>
  </si>
  <si>
    <r>
      <t xml:space="preserve">B.  </t>
    </r>
    <r>
      <rPr>
        <sz val="11"/>
        <rFont val="Arial"/>
        <family val="2"/>
      </rPr>
      <t xml:space="preserve"> Literature demonstrates that a preventable adverse drug event increases the mean cost of hospitalization by $4,655 (1993 dollars updated to 2012).</t>
    </r>
  </si>
  <si>
    <t>This calculation assumes that 1 per 100 medication errors avoided as a result of pharmacist-performed medication reconciliation would have resulted in a harmful adverse drug event had the error not been interecepted by the pharmacist (see assumptions table for details)  Organizations may wish to use a more conservative estiimate based on their own analysis.</t>
  </si>
  <si>
    <t>In addition to the above stated patient safety benefits, additional benefits  may accrue as a result of pharmacist-performed medication reconcilation activities.  It is up to each organization to determine whether or not financial savings should be included in the above ROI as a result of these savings.  This ROI assumes no financial savings from these benefits:</t>
  </si>
  <si>
    <r>
      <t>Table 1: ROI ASSUMPTIONS TABLE</t>
    </r>
    <r>
      <rPr>
        <sz val="12"/>
        <rFont val="Arial"/>
        <family val="2"/>
      </rPr>
      <t xml:space="preserve"> </t>
    </r>
    <r>
      <rPr>
        <sz val="11"/>
        <rFont val="Arial"/>
        <family val="2"/>
      </rPr>
      <t xml:space="preserve"> 
The following assumptions are made about the "model" hospital.  These assumptions drive all cost figures in the ROI analysis table below.  Each hospital must provide its own information into this assumptions table to derive institution-specific estimates for the ROI analysis.  Updating the assumptions table will automatically revise figures in the ROI table.</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</si>
</sst>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Red]0"/>
    <numFmt numFmtId="166" formatCode="&quot;$&quot;#,##0;[Red]&quot;$&quot;#,##0"/>
    <numFmt numFmtId="167" formatCode="#,##0.000"/>
    <numFmt numFmtId="168" formatCode="&quot;$&quot;#,##0.00"/>
    <numFmt numFmtId="169" formatCode="&quot;$&quot;#,##0.000"/>
    <numFmt numFmtId="170" formatCode="_(* #,##0.0_);_(* \(#,##0.0\);_(* &quot;-&quot;??_);_(@_)"/>
    <numFmt numFmtId="171" formatCode="_(* #,##0_);_(* \(#,##0\);_(* &quot;-&quot;??_);_(@_)"/>
    <numFmt numFmtId="172" formatCode="&quot;$&quot;#,##0.0000_);[Red]\(&quot;$&quot;#,##0.0000\)"/>
    <numFmt numFmtId="173" formatCode="_(* #,##0.0_);_(* \(#,##0.0\);_(* &quot;-&quot;?_);_(@_)"/>
    <numFmt numFmtId="174" formatCode="0.00000000"/>
    <numFmt numFmtId="175" formatCode="0.0000000"/>
    <numFmt numFmtId="176" formatCode="0.000000"/>
    <numFmt numFmtId="177" formatCode="0.00000"/>
    <numFmt numFmtId="178" formatCode="0.0000"/>
    <numFmt numFmtId="179" formatCode="_(* #,##0.0000_);_(* \(#,##0.0000\);_(* &quot;-&quot;????_);_(@_)"/>
    <numFmt numFmtId="180" formatCode="_(* #,##0.000_);_(* \(#,##0.000\);_(* &quot;-&quot;????_);_(@_)"/>
    <numFmt numFmtId="181" formatCode="_(* #,##0.00_);_(* \(#,##0.00\);_(* &quot;-&quot;????_);_(@_)"/>
    <numFmt numFmtId="182" formatCode="_(* #,##0.0_);_(* \(#,##0.0\);_(* &quot;-&quot;????_);_(@_)"/>
    <numFmt numFmtId="183" formatCode="_(* #,##0_);_(* \(#,##0\);_(* &quot;-&quot;????_);_(@_)"/>
    <numFmt numFmtId="184" formatCode="&quot;$&quot;#,##0.0000"/>
    <numFmt numFmtId="185" formatCode="&quot;$&quot;#,##0.000_);[Red]\(&quot;$&quot;#,##0.000\)"/>
    <numFmt numFmtId="186" formatCode="&quot;Yes&quot;;&quot;Yes&quot;;&quot;No&quot;"/>
    <numFmt numFmtId="187" formatCode="&quot;True&quot;;&quot;True&quot;;&quot;False&quot;"/>
    <numFmt numFmtId="188" formatCode="&quot;On&quot;;&quot;On&quot;;&quot;Off&quot;"/>
    <numFmt numFmtId="189" formatCode="[$€-2]\ #,##0.00_);[Red]\([$€-2]\ #,##0.00\)"/>
    <numFmt numFmtId="190" formatCode="#,##0.0_);[Red]\(#,##0.0\)"/>
    <numFmt numFmtId="191" formatCode="0.0%"/>
  </numFmts>
  <fonts count="52">
    <font>
      <sz val="10"/>
      <name val="Arial"/>
      <family val="0"/>
    </font>
    <font>
      <b/>
      <sz val="10"/>
      <name val="Arial"/>
      <family val="2"/>
    </font>
    <font>
      <i/>
      <sz val="10"/>
      <name val="Arial"/>
      <family val="2"/>
    </font>
    <font>
      <u val="single"/>
      <sz val="7.5"/>
      <color indexed="12"/>
      <name val="Arial"/>
      <family val="2"/>
    </font>
    <font>
      <u val="single"/>
      <sz val="7.5"/>
      <color indexed="36"/>
      <name val="Arial"/>
      <family val="2"/>
    </font>
    <font>
      <i/>
      <sz val="10"/>
      <name val="Times New Roman"/>
      <family val="1"/>
    </font>
    <font>
      <b/>
      <sz val="14"/>
      <name val="Arial"/>
      <family val="2"/>
    </font>
    <font>
      <sz val="12"/>
      <name val="Times New Roman"/>
      <family val="1"/>
    </font>
    <font>
      <b/>
      <sz val="11"/>
      <name val="Arial"/>
      <family val="2"/>
    </font>
    <font>
      <sz val="11"/>
      <name val="Arial"/>
      <family val="2"/>
    </font>
    <font>
      <i/>
      <sz val="11"/>
      <name val="Arial"/>
      <family val="2"/>
    </font>
    <font>
      <vertAlign val="superscript"/>
      <sz val="16"/>
      <name val="Arial"/>
      <family val="2"/>
    </font>
    <font>
      <sz val="16"/>
      <name val="Arial"/>
      <family val="2"/>
    </font>
    <font>
      <sz val="14"/>
      <name val="Arial"/>
      <family val="2"/>
    </font>
    <font>
      <i/>
      <sz val="12"/>
      <name val="Arial"/>
      <family val="2"/>
    </font>
    <font>
      <b/>
      <sz val="12"/>
      <name val="Arial"/>
      <family val="2"/>
    </font>
    <font>
      <sz val="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style="thin"/>
      <right style="thin"/>
      <top>
        <color indexed="63"/>
      </top>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1">
    <xf numFmtId="0" fontId="0" fillId="0" borderId="0" xfId="0" applyAlignment="1">
      <alignment/>
    </xf>
    <xf numFmtId="6" fontId="0" fillId="0" borderId="0" xfId="0" applyNumberFormat="1" applyAlignment="1">
      <alignment/>
    </xf>
    <xf numFmtId="6" fontId="0" fillId="0" borderId="0" xfId="0" applyNumberFormat="1" applyFill="1" applyBorder="1" applyAlignment="1">
      <alignment/>
    </xf>
    <xf numFmtId="6" fontId="1" fillId="0" borderId="0" xfId="0" applyNumberFormat="1" applyFont="1" applyAlignment="1">
      <alignment/>
    </xf>
    <xf numFmtId="6" fontId="0" fillId="0" borderId="0" xfId="0" applyNumberFormat="1" applyFont="1" applyAlignment="1">
      <alignment wrapText="1"/>
    </xf>
    <xf numFmtId="0" fontId="7" fillId="0" borderId="0" xfId="0" applyFont="1" applyAlignment="1">
      <alignment/>
    </xf>
    <xf numFmtId="6" fontId="2" fillId="0" borderId="0" xfId="0" applyNumberFormat="1" applyFont="1" applyAlignment="1">
      <alignment/>
    </xf>
    <xf numFmtId="6" fontId="0" fillId="0" borderId="0" xfId="0" applyNumberFormat="1" applyFont="1" applyFill="1" applyBorder="1" applyAlignment="1">
      <alignment/>
    </xf>
    <xf numFmtId="6" fontId="0" fillId="0" borderId="0" xfId="0" applyNumberFormat="1" applyFont="1" applyAlignment="1">
      <alignment/>
    </xf>
    <xf numFmtId="38" fontId="9" fillId="0" borderId="10" xfId="0" applyNumberFormat="1" applyFont="1" applyBorder="1" applyAlignment="1">
      <alignment wrapText="1"/>
    </xf>
    <xf numFmtId="10" fontId="9" fillId="0" borderId="10" xfId="0" applyNumberFormat="1" applyFont="1" applyBorder="1" applyAlignment="1">
      <alignment wrapText="1"/>
    </xf>
    <xf numFmtId="6" fontId="9" fillId="0" borderId="10" xfId="0" applyNumberFormat="1" applyFont="1" applyBorder="1" applyAlignment="1">
      <alignment wrapText="1"/>
    </xf>
    <xf numFmtId="6" fontId="9" fillId="33" borderId="10" xfId="0" applyNumberFormat="1" applyFont="1" applyFill="1" applyBorder="1" applyAlignment="1">
      <alignment wrapText="1"/>
    </xf>
    <xf numFmtId="190" fontId="9" fillId="0" borderId="10" xfId="0" applyNumberFormat="1" applyFont="1" applyBorder="1" applyAlignment="1">
      <alignment wrapText="1"/>
    </xf>
    <xf numFmtId="9" fontId="9" fillId="0" borderId="10" xfId="0" applyNumberFormat="1" applyFont="1" applyBorder="1" applyAlignment="1">
      <alignment wrapText="1"/>
    </xf>
    <xf numFmtId="164" fontId="9" fillId="0" borderId="10" xfId="0" applyNumberFormat="1" applyFont="1" applyBorder="1" applyAlignment="1">
      <alignment wrapText="1"/>
    </xf>
    <xf numFmtId="164" fontId="9" fillId="34" borderId="10" xfId="0" applyNumberFormat="1" applyFont="1" applyFill="1" applyBorder="1" applyAlignment="1">
      <alignment wrapText="1"/>
    </xf>
    <xf numFmtId="6" fontId="9" fillId="0" borderId="10" xfId="0" applyNumberFormat="1" applyFont="1" applyBorder="1" applyAlignment="1">
      <alignment/>
    </xf>
    <xf numFmtId="171" fontId="9" fillId="0" borderId="10" xfId="42" applyNumberFormat="1" applyFont="1" applyBorder="1" applyAlignment="1">
      <alignment/>
    </xf>
    <xf numFmtId="6" fontId="8" fillId="0" borderId="11" xfId="0" applyNumberFormat="1" applyFont="1" applyBorder="1" applyAlignment="1">
      <alignment/>
    </xf>
    <xf numFmtId="6" fontId="9" fillId="0" borderId="0" xfId="0" applyNumberFormat="1" applyFont="1" applyFill="1" applyBorder="1" applyAlignment="1">
      <alignment/>
    </xf>
    <xf numFmtId="6" fontId="8" fillId="0" borderId="0" xfId="0" applyNumberFormat="1" applyFont="1" applyBorder="1" applyAlignment="1">
      <alignment/>
    </xf>
    <xf numFmtId="6" fontId="9" fillId="0" borderId="10" xfId="0" applyNumberFormat="1" applyFont="1" applyFill="1" applyBorder="1" applyAlignment="1">
      <alignment horizontal="left" indent="1"/>
    </xf>
    <xf numFmtId="6" fontId="8" fillId="35" borderId="11" xfId="0" applyNumberFormat="1" applyFont="1" applyFill="1" applyBorder="1" applyAlignment="1">
      <alignment/>
    </xf>
    <xf numFmtId="6" fontId="9" fillId="35" borderId="0" xfId="0" applyNumberFormat="1" applyFont="1" applyFill="1" applyBorder="1" applyAlignment="1">
      <alignment/>
    </xf>
    <xf numFmtId="6" fontId="8" fillId="35" borderId="10" xfId="0" applyNumberFormat="1" applyFont="1" applyFill="1" applyBorder="1" applyAlignment="1">
      <alignment/>
    </xf>
    <xf numFmtId="6" fontId="9" fillId="35" borderId="10" xfId="0" applyNumberFormat="1" applyFont="1" applyFill="1" applyBorder="1" applyAlignment="1">
      <alignment horizontal="right"/>
    </xf>
    <xf numFmtId="6" fontId="9" fillId="0" borderId="0" xfId="0" applyNumberFormat="1" applyFont="1" applyAlignment="1">
      <alignment/>
    </xf>
    <xf numFmtId="6" fontId="9" fillId="0" borderId="12" xfId="0" applyNumberFormat="1" applyFont="1" applyFill="1" applyBorder="1" applyAlignment="1">
      <alignment horizontal="left"/>
    </xf>
    <xf numFmtId="6" fontId="10" fillId="0" borderId="10" xfId="0" applyNumberFormat="1" applyFont="1" applyBorder="1" applyAlignment="1">
      <alignment/>
    </xf>
    <xf numFmtId="6" fontId="8" fillId="0" borderId="11" xfId="0" applyNumberFormat="1" applyFont="1" applyBorder="1" applyAlignment="1">
      <alignment horizontal="left"/>
    </xf>
    <xf numFmtId="9" fontId="10" fillId="0" borderId="10" xfId="0" applyNumberFormat="1" applyFont="1" applyBorder="1" applyAlignment="1">
      <alignment/>
    </xf>
    <xf numFmtId="6" fontId="8" fillId="0" borderId="0" xfId="0" applyNumberFormat="1" applyFont="1" applyBorder="1" applyAlignment="1">
      <alignment horizontal="left"/>
    </xf>
    <xf numFmtId="6" fontId="9" fillId="0" borderId="10" xfId="0" applyNumberFormat="1" applyFont="1" applyFill="1" applyBorder="1" applyAlignment="1">
      <alignment/>
    </xf>
    <xf numFmtId="6" fontId="8" fillId="35" borderId="13" xfId="0" applyNumberFormat="1" applyFont="1" applyFill="1" applyBorder="1" applyAlignment="1">
      <alignment horizontal="left"/>
    </xf>
    <xf numFmtId="6" fontId="9" fillId="35" borderId="14" xfId="0" applyNumberFormat="1" applyFont="1" applyFill="1" applyBorder="1" applyAlignment="1">
      <alignment/>
    </xf>
    <xf numFmtId="6" fontId="9" fillId="35" borderId="15" xfId="0" applyNumberFormat="1" applyFont="1" applyFill="1" applyBorder="1" applyAlignment="1">
      <alignment/>
    </xf>
    <xf numFmtId="6" fontId="8" fillId="35" borderId="15" xfId="0" applyNumberFormat="1" applyFont="1" applyFill="1" applyBorder="1" applyAlignment="1">
      <alignment/>
    </xf>
    <xf numFmtId="6" fontId="8" fillId="0" borderId="16" xfId="0" applyNumberFormat="1" applyFont="1" applyBorder="1" applyAlignment="1">
      <alignment horizontal="left"/>
    </xf>
    <xf numFmtId="6" fontId="9" fillId="0" borderId="17" xfId="0" applyNumberFormat="1" applyFont="1" applyFill="1" applyBorder="1" applyAlignment="1">
      <alignment/>
    </xf>
    <xf numFmtId="6" fontId="9" fillId="0" borderId="18" xfId="0" applyNumberFormat="1" applyFont="1" applyBorder="1" applyAlignment="1">
      <alignment/>
    </xf>
    <xf numFmtId="6" fontId="8" fillId="0" borderId="18" xfId="0" applyNumberFormat="1" applyFont="1" applyBorder="1" applyAlignment="1">
      <alignment/>
    </xf>
    <xf numFmtId="6" fontId="8" fillId="35" borderId="15" xfId="0" applyNumberFormat="1" applyFont="1" applyFill="1" applyBorder="1" applyAlignment="1">
      <alignment horizontal="left"/>
    </xf>
    <xf numFmtId="6" fontId="9" fillId="35" borderId="19" xfId="0" applyNumberFormat="1" applyFont="1" applyFill="1" applyBorder="1" applyAlignment="1">
      <alignment/>
    </xf>
    <xf numFmtId="6" fontId="9" fillId="35" borderId="20" xfId="0" applyNumberFormat="1" applyFont="1" applyFill="1" applyBorder="1" applyAlignment="1">
      <alignment/>
    </xf>
    <xf numFmtId="6" fontId="8" fillId="35" borderId="20" xfId="0" applyNumberFormat="1" applyFont="1" applyFill="1" applyBorder="1" applyAlignment="1">
      <alignment/>
    </xf>
    <xf numFmtId="6" fontId="9" fillId="0" borderId="16" xfId="0" applyNumberFormat="1" applyFont="1" applyBorder="1" applyAlignment="1">
      <alignment/>
    </xf>
    <xf numFmtId="6" fontId="9" fillId="0" borderId="21" xfId="0" applyNumberFormat="1" applyFont="1" applyFill="1" applyBorder="1" applyAlignment="1">
      <alignment/>
    </xf>
    <xf numFmtId="6" fontId="9" fillId="0" borderId="22" xfId="0" applyNumberFormat="1" applyFont="1" applyBorder="1" applyAlignment="1">
      <alignment/>
    </xf>
    <xf numFmtId="6" fontId="9" fillId="35" borderId="23" xfId="0" applyNumberFormat="1" applyFont="1" applyFill="1" applyBorder="1" applyAlignment="1">
      <alignment/>
    </xf>
    <xf numFmtId="6" fontId="9" fillId="35" borderId="10" xfId="0" applyNumberFormat="1" applyFont="1" applyFill="1" applyBorder="1" applyAlignment="1">
      <alignment/>
    </xf>
    <xf numFmtId="6" fontId="8" fillId="0" borderId="12" xfId="0" applyNumberFormat="1" applyFont="1" applyBorder="1" applyAlignment="1">
      <alignment/>
    </xf>
    <xf numFmtId="6" fontId="6" fillId="0" borderId="0" xfId="0" applyNumberFormat="1" applyFont="1" applyFill="1" applyBorder="1" applyAlignment="1">
      <alignment/>
    </xf>
    <xf numFmtId="38" fontId="1" fillId="0" borderId="0" xfId="0" applyNumberFormat="1" applyFont="1" applyAlignment="1">
      <alignment horizontal="right" vertical="top"/>
    </xf>
    <xf numFmtId="6" fontId="14" fillId="0" borderId="0" xfId="0" applyNumberFormat="1" applyFont="1" applyAlignment="1">
      <alignment/>
    </xf>
    <xf numFmtId="6" fontId="15" fillId="0" borderId="0" xfId="0" applyNumberFormat="1" applyFont="1" applyAlignment="1">
      <alignment/>
    </xf>
    <xf numFmtId="6" fontId="16" fillId="0" borderId="0" xfId="0" applyNumberFormat="1" applyFont="1" applyFill="1" applyBorder="1" applyAlignment="1">
      <alignment/>
    </xf>
    <xf numFmtId="6" fontId="16" fillId="0" borderId="0" xfId="0" applyNumberFormat="1" applyFont="1" applyAlignment="1">
      <alignment/>
    </xf>
    <xf numFmtId="6" fontId="8" fillId="0" borderId="0" xfId="0" applyNumberFormat="1" applyFont="1" applyFill="1" applyBorder="1" applyAlignment="1">
      <alignment wrapText="1"/>
    </xf>
    <xf numFmtId="6" fontId="9" fillId="0" borderId="0" xfId="0" applyNumberFormat="1" applyFont="1" applyFill="1" applyBorder="1" applyAlignment="1">
      <alignment wrapText="1"/>
    </xf>
    <xf numFmtId="6" fontId="2" fillId="0" borderId="0" xfId="0" applyNumberFormat="1" applyFont="1" applyBorder="1" applyAlignment="1">
      <alignment/>
    </xf>
    <xf numFmtId="6" fontId="9" fillId="33" borderId="10" xfId="0" applyNumberFormat="1" applyFont="1" applyFill="1" applyBorder="1" applyAlignment="1">
      <alignment horizontal="left" indent="1"/>
    </xf>
    <xf numFmtId="6" fontId="9" fillId="34" borderId="10" xfId="0" applyNumberFormat="1" applyFont="1" applyFill="1" applyBorder="1" applyAlignment="1">
      <alignment horizontal="left" indent="1"/>
    </xf>
    <xf numFmtId="6" fontId="10" fillId="0" borderId="0" xfId="0" applyNumberFormat="1" applyFont="1" applyAlignment="1">
      <alignment/>
    </xf>
    <xf numFmtId="6" fontId="9" fillId="0" borderId="0" xfId="0" applyNumberFormat="1" applyFont="1" applyAlignment="1">
      <alignment wrapText="1"/>
    </xf>
    <xf numFmtId="6" fontId="8" fillId="0" borderId="0" xfId="0" applyNumberFormat="1" applyFont="1" applyAlignment="1">
      <alignment/>
    </xf>
    <xf numFmtId="0" fontId="9" fillId="0" borderId="0" xfId="0" applyNumberFormat="1" applyFont="1" applyFill="1" applyBorder="1" applyAlignment="1" quotePrefix="1">
      <alignment/>
    </xf>
    <xf numFmtId="6" fontId="9" fillId="0" borderId="0" xfId="0" applyNumberFormat="1" applyFont="1" applyAlignment="1">
      <alignment/>
    </xf>
    <xf numFmtId="6" fontId="9" fillId="0" borderId="0" xfId="0" applyNumberFormat="1" applyFont="1" applyFill="1" applyBorder="1" applyAlignment="1" quotePrefix="1">
      <alignment/>
    </xf>
    <xf numFmtId="6" fontId="9" fillId="0" borderId="11" xfId="0" applyNumberFormat="1" applyFont="1" applyBorder="1" applyAlignment="1">
      <alignment wrapText="1"/>
    </xf>
    <xf numFmtId="6" fontId="9" fillId="0" borderId="23" xfId="0" applyNumberFormat="1" applyFont="1" applyBorder="1" applyAlignment="1">
      <alignment wrapText="1"/>
    </xf>
    <xf numFmtId="6" fontId="9" fillId="0" borderId="12" xfId="0" applyNumberFormat="1" applyFont="1" applyBorder="1" applyAlignment="1">
      <alignment wrapText="1"/>
    </xf>
    <xf numFmtId="6" fontId="9" fillId="0" borderId="0" xfId="0" applyNumberFormat="1" applyFont="1" applyBorder="1" applyAlignment="1">
      <alignment wrapText="1"/>
    </xf>
    <xf numFmtId="0" fontId="1" fillId="0" borderId="0" xfId="0" applyFont="1" applyAlignment="1">
      <alignment/>
    </xf>
    <xf numFmtId="1" fontId="9" fillId="0" borderId="10" xfId="0" applyNumberFormat="1" applyFont="1" applyBorder="1" applyAlignment="1">
      <alignment wrapText="1"/>
    </xf>
    <xf numFmtId="0" fontId="15" fillId="0" borderId="0" xfId="0" applyFont="1" applyAlignment="1">
      <alignment/>
    </xf>
    <xf numFmtId="164" fontId="9" fillId="34" borderId="0" xfId="0" applyNumberFormat="1" applyFont="1" applyFill="1" applyBorder="1" applyAlignment="1">
      <alignment wrapText="1"/>
    </xf>
    <xf numFmtId="6" fontId="9" fillId="0" borderId="0" xfId="0" applyNumberFormat="1" applyFont="1" applyFill="1" applyBorder="1" applyAlignment="1">
      <alignment wrapText="1"/>
    </xf>
    <xf numFmtId="6" fontId="9" fillId="0" borderId="11" xfId="0" applyNumberFormat="1" applyFont="1" applyBorder="1" applyAlignment="1">
      <alignment wrapText="1"/>
    </xf>
    <xf numFmtId="6" fontId="9" fillId="0" borderId="23" xfId="0" applyNumberFormat="1" applyFont="1" applyBorder="1" applyAlignment="1">
      <alignment wrapText="1"/>
    </xf>
    <xf numFmtId="6" fontId="9" fillId="0" borderId="12" xfId="0" applyNumberFormat="1" applyFont="1" applyBorder="1" applyAlignment="1">
      <alignment wrapText="1"/>
    </xf>
    <xf numFmtId="6" fontId="8" fillId="0" borderId="0" xfId="0" applyNumberFormat="1" applyFont="1" applyBorder="1" applyAlignment="1">
      <alignment wrapText="1"/>
    </xf>
    <xf numFmtId="6" fontId="9" fillId="0" borderId="0" xfId="0" applyNumberFormat="1" applyFont="1" applyBorder="1" applyAlignment="1">
      <alignment wrapText="1"/>
    </xf>
    <xf numFmtId="6" fontId="9" fillId="0" borderId="0" xfId="0" applyNumberFormat="1" applyFont="1" applyBorder="1" applyAlignment="1">
      <alignment wrapText="1"/>
    </xf>
    <xf numFmtId="0" fontId="5" fillId="0" borderId="0" xfId="0" applyFont="1" applyAlignment="1">
      <alignment wrapText="1"/>
    </xf>
    <xf numFmtId="6" fontId="9" fillId="0" borderId="11" xfId="0" applyNumberFormat="1" applyFont="1" applyFill="1" applyBorder="1" applyAlignment="1">
      <alignment wrapText="1"/>
    </xf>
    <xf numFmtId="6" fontId="9" fillId="0" borderId="23" xfId="0" applyNumberFormat="1" applyFont="1" applyFill="1" applyBorder="1" applyAlignment="1">
      <alignment wrapText="1"/>
    </xf>
    <xf numFmtId="6" fontId="9" fillId="0" borderId="12" xfId="0" applyNumberFormat="1" applyFont="1" applyFill="1" applyBorder="1" applyAlignment="1">
      <alignment wrapText="1"/>
    </xf>
    <xf numFmtId="6" fontId="8" fillId="0" borderId="0" xfId="0" applyNumberFormat="1" applyFont="1" applyFill="1" applyBorder="1" applyAlignment="1">
      <alignment wrapText="1"/>
    </xf>
    <xf numFmtId="6" fontId="9" fillId="0" borderId="0" xfId="0" applyNumberFormat="1" applyFont="1" applyFill="1" applyBorder="1" applyAlignment="1">
      <alignment wrapText="1"/>
    </xf>
    <xf numFmtId="6" fontId="15" fillId="0" borderId="0" xfId="0" applyNumberFormat="1"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1"/>
  <sheetViews>
    <sheetView zoomScale="75" zoomScaleNormal="75" zoomScalePageLayoutView="0" workbookViewId="0" topLeftCell="A16">
      <selection activeCell="C50" sqref="C50"/>
    </sheetView>
  </sheetViews>
  <sheetFormatPr defaultColWidth="9.140625" defaultRowHeight="12.75"/>
  <cols>
    <col min="1" max="1" width="9.140625" style="1" customWidth="1"/>
    <col min="2" max="2" width="65.28125" style="2" customWidth="1"/>
    <col min="3" max="3" width="14.8515625" style="1" bestFit="1" customWidth="1"/>
    <col min="4" max="4" width="13.8515625" style="1" bestFit="1" customWidth="1"/>
    <col min="5" max="8" width="13.140625" style="1" bestFit="1" customWidth="1"/>
    <col min="9" max="16384" width="9.140625" style="1" customWidth="1"/>
  </cols>
  <sheetData>
    <row r="1" spans="1:2" s="57" customFormat="1" ht="15.75">
      <c r="A1" s="55" t="s">
        <v>46</v>
      </c>
      <c r="B1" s="56"/>
    </row>
    <row r="2" s="57" customFormat="1" ht="15">
      <c r="A2" s="54" t="s">
        <v>7</v>
      </c>
    </row>
    <row r="3" s="57" customFormat="1" ht="15">
      <c r="A3" s="54"/>
    </row>
    <row r="4" spans="1:2" s="8" customFormat="1" ht="12.75">
      <c r="A4" s="6"/>
      <c r="B4" s="7"/>
    </row>
    <row r="5" spans="1:5" s="8" customFormat="1" ht="77.25" customHeight="1">
      <c r="A5" s="6"/>
      <c r="B5" s="88" t="s">
        <v>61</v>
      </c>
      <c r="C5" s="89"/>
      <c r="D5" s="89"/>
      <c r="E5" s="89"/>
    </row>
    <row r="6" spans="1:5" s="8" customFormat="1" ht="9" customHeight="1">
      <c r="A6" s="60"/>
      <c r="B6" s="58"/>
      <c r="C6" s="59"/>
      <c r="D6" s="59"/>
      <c r="E6" s="59"/>
    </row>
    <row r="7" spans="1:5" s="8" customFormat="1" ht="28.5" customHeight="1">
      <c r="A7" s="6"/>
      <c r="B7" s="78" t="s">
        <v>60</v>
      </c>
      <c r="C7" s="79"/>
      <c r="D7" s="80"/>
      <c r="E7" s="13">
        <v>2</v>
      </c>
    </row>
    <row r="8" spans="1:5" s="8" customFormat="1" ht="14.25">
      <c r="A8" s="6"/>
      <c r="B8" s="78" t="s">
        <v>10</v>
      </c>
      <c r="C8" s="79"/>
      <c r="D8" s="80"/>
      <c r="E8" s="9">
        <v>35000</v>
      </c>
    </row>
    <row r="9" spans="1:5" s="8" customFormat="1" ht="25.5" customHeight="1">
      <c r="A9" s="6"/>
      <c r="B9" s="78" t="s">
        <v>59</v>
      </c>
      <c r="C9" s="79"/>
      <c r="D9" s="80"/>
      <c r="E9" s="9">
        <f>E7*E8</f>
        <v>70000</v>
      </c>
    </row>
    <row r="10" spans="1:5" s="8" customFormat="1" ht="22.5" customHeight="1">
      <c r="A10" s="6"/>
      <c r="B10" s="78" t="s">
        <v>27</v>
      </c>
      <c r="C10" s="79"/>
      <c r="D10" s="80"/>
      <c r="E10" s="10">
        <v>0.009</v>
      </c>
    </row>
    <row r="11" spans="1:5" s="8" customFormat="1" ht="22.5" customHeight="1">
      <c r="A11" s="6"/>
      <c r="B11" s="69" t="s">
        <v>58</v>
      </c>
      <c r="C11" s="70"/>
      <c r="D11" s="71"/>
      <c r="E11" s="14">
        <v>0.75</v>
      </c>
    </row>
    <row r="12" spans="1:5" s="8" customFormat="1" ht="14.25">
      <c r="A12" s="6"/>
      <c r="B12" s="78" t="s">
        <v>11</v>
      </c>
      <c r="C12" s="79"/>
      <c r="D12" s="80"/>
      <c r="E12" s="9">
        <f>E9*E10*E11</f>
        <v>472.5</v>
      </c>
    </row>
    <row r="13" spans="1:5" s="8" customFormat="1" ht="24.75" customHeight="1">
      <c r="A13" s="6"/>
      <c r="B13" s="78" t="s">
        <v>28</v>
      </c>
      <c r="C13" s="79"/>
      <c r="D13" s="80"/>
      <c r="E13" s="11">
        <v>4655</v>
      </c>
    </row>
    <row r="14" spans="1:5" s="8" customFormat="1" ht="14.25">
      <c r="A14" s="6"/>
      <c r="B14" s="78" t="s">
        <v>12</v>
      </c>
      <c r="C14" s="79"/>
      <c r="D14" s="80"/>
      <c r="E14" s="12">
        <f>E12*E13</f>
        <v>2199487.5</v>
      </c>
    </row>
    <row r="15" spans="1:5" s="8" customFormat="1" ht="25.5" customHeight="1">
      <c r="A15" s="6"/>
      <c r="B15" s="78" t="s">
        <v>13</v>
      </c>
      <c r="C15" s="79"/>
      <c r="D15" s="80"/>
      <c r="E15" s="9">
        <v>21</v>
      </c>
    </row>
    <row r="16" spans="1:5" s="8" customFormat="1" ht="14.25">
      <c r="A16" s="6"/>
      <c r="B16" s="78" t="s">
        <v>15</v>
      </c>
      <c r="C16" s="79"/>
      <c r="D16" s="80"/>
      <c r="E16" s="9">
        <f>(E8*E15)/60</f>
        <v>12250</v>
      </c>
    </row>
    <row r="17" spans="1:5" s="8" customFormat="1" ht="14.25">
      <c r="A17" s="6"/>
      <c r="B17" s="78" t="s">
        <v>14</v>
      </c>
      <c r="C17" s="79"/>
      <c r="D17" s="80"/>
      <c r="E17" s="13">
        <f>E16/2080</f>
        <v>5.889423076923077</v>
      </c>
    </row>
    <row r="18" spans="1:5" s="8" customFormat="1" ht="14.25">
      <c r="A18" s="6"/>
      <c r="B18" s="78" t="s">
        <v>38</v>
      </c>
      <c r="C18" s="79"/>
      <c r="D18" s="80"/>
      <c r="E18" s="13">
        <f>E17*1.3</f>
        <v>7.65625</v>
      </c>
    </row>
    <row r="19" spans="1:5" s="8" customFormat="1" ht="22.5" customHeight="1">
      <c r="A19" s="6"/>
      <c r="B19" s="78" t="s">
        <v>29</v>
      </c>
      <c r="C19" s="79"/>
      <c r="D19" s="80"/>
      <c r="E19" s="9">
        <v>100000</v>
      </c>
    </row>
    <row r="20" spans="1:5" s="8" customFormat="1" ht="14.25">
      <c r="A20" s="6"/>
      <c r="B20" s="78" t="s">
        <v>16</v>
      </c>
      <c r="C20" s="79"/>
      <c r="D20" s="80"/>
      <c r="E20" s="14">
        <v>0.35</v>
      </c>
    </row>
    <row r="21" spans="1:5" s="8" customFormat="1" ht="14.25">
      <c r="A21" s="6"/>
      <c r="B21" s="85" t="s">
        <v>17</v>
      </c>
      <c r="C21" s="86"/>
      <c r="D21" s="87"/>
      <c r="E21" s="15">
        <f>E19+(E19*E20)</f>
        <v>135000</v>
      </c>
    </row>
    <row r="22" spans="1:5" s="8" customFormat="1" ht="14.25">
      <c r="A22" s="6"/>
      <c r="B22" s="78" t="s">
        <v>1</v>
      </c>
      <c r="C22" s="79"/>
      <c r="D22" s="80"/>
      <c r="E22" s="16">
        <f>E18*E21</f>
        <v>1033593.75</v>
      </c>
    </row>
    <row r="23" spans="1:8" s="27" customFormat="1" ht="14.25">
      <c r="A23" s="63"/>
      <c r="B23" s="81" t="s">
        <v>62</v>
      </c>
      <c r="C23" s="82"/>
      <c r="D23" s="82"/>
      <c r="E23" s="82"/>
      <c r="F23" s="82"/>
      <c r="G23" s="82"/>
      <c r="H23" s="64"/>
    </row>
    <row r="24" spans="1:8" s="27" customFormat="1" ht="14.25">
      <c r="A24" s="63"/>
      <c r="B24" s="84" t="s">
        <v>30</v>
      </c>
      <c r="C24" s="84"/>
      <c r="D24" s="84"/>
      <c r="E24" s="84"/>
      <c r="F24" s="84"/>
      <c r="G24" s="84"/>
      <c r="H24" s="84"/>
    </row>
    <row r="25" spans="1:8" s="27" customFormat="1" ht="14.25">
      <c r="A25" s="63"/>
      <c r="B25" s="84" t="s">
        <v>31</v>
      </c>
      <c r="C25" s="84"/>
      <c r="D25" s="84"/>
      <c r="E25" s="84"/>
      <c r="F25" s="84"/>
      <c r="G25" s="84"/>
      <c r="H25" s="84"/>
    </row>
    <row r="26" spans="1:8" s="27" customFormat="1" ht="14.25">
      <c r="A26" s="63"/>
      <c r="B26" s="81" t="s">
        <v>63</v>
      </c>
      <c r="C26" s="82"/>
      <c r="D26" s="82"/>
      <c r="E26" s="82"/>
      <c r="F26" s="82"/>
      <c r="G26" s="82"/>
      <c r="H26" s="64"/>
    </row>
    <row r="27" spans="1:8" s="27" customFormat="1" ht="14.25">
      <c r="A27" s="63"/>
      <c r="B27" s="84" t="s">
        <v>36</v>
      </c>
      <c r="C27" s="84"/>
      <c r="D27" s="84"/>
      <c r="E27" s="84"/>
      <c r="F27" s="84"/>
      <c r="G27" s="84"/>
      <c r="H27" s="84"/>
    </row>
    <row r="28" spans="1:8" s="27" customFormat="1" ht="15">
      <c r="A28" s="63"/>
      <c r="B28" s="81" t="s">
        <v>57</v>
      </c>
      <c r="C28" s="81"/>
      <c r="D28" s="81"/>
      <c r="E28" s="81"/>
      <c r="F28" s="81"/>
      <c r="G28" s="81"/>
      <c r="H28" s="81"/>
    </row>
    <row r="29" spans="1:2" s="8" customFormat="1" ht="13.5" customHeight="1">
      <c r="A29" s="6"/>
      <c r="B29" s="7"/>
    </row>
    <row r="30" spans="1:2" s="8" customFormat="1" ht="13.5" customHeight="1">
      <c r="A30" s="6"/>
      <c r="B30" s="7"/>
    </row>
    <row r="31" s="8" customFormat="1" ht="18">
      <c r="B31" s="52" t="s">
        <v>37</v>
      </c>
    </row>
    <row r="32" spans="1:8" ht="15">
      <c r="A32" s="19"/>
      <c r="B32" s="51"/>
      <c r="C32" s="17" t="s">
        <v>2</v>
      </c>
      <c r="D32" s="18">
        <v>1</v>
      </c>
      <c r="E32" s="18">
        <v>2</v>
      </c>
      <c r="F32" s="18">
        <v>3</v>
      </c>
      <c r="G32" s="18">
        <v>4</v>
      </c>
      <c r="H32" s="18">
        <v>5</v>
      </c>
    </row>
    <row r="33" spans="1:8" ht="15">
      <c r="A33" s="19" t="s">
        <v>3</v>
      </c>
      <c r="B33" s="20"/>
      <c r="C33" s="17"/>
      <c r="D33" s="17"/>
      <c r="E33" s="17"/>
      <c r="F33" s="17"/>
      <c r="G33" s="17"/>
      <c r="H33" s="17"/>
    </row>
    <row r="34" spans="1:8" ht="15">
      <c r="A34" s="21"/>
      <c r="B34" s="22" t="s">
        <v>8</v>
      </c>
      <c r="C34" s="17">
        <v>20000</v>
      </c>
      <c r="D34" s="17"/>
      <c r="E34" s="17"/>
      <c r="F34" s="17"/>
      <c r="G34" s="17"/>
      <c r="H34" s="17"/>
    </row>
    <row r="35" spans="1:8" ht="15">
      <c r="A35" s="23" t="s">
        <v>4</v>
      </c>
      <c r="B35" s="24"/>
      <c r="C35" s="25">
        <f>+SUM(C34:C34)</f>
        <v>20000</v>
      </c>
      <c r="D35" s="26" t="s">
        <v>6</v>
      </c>
      <c r="E35" s="26" t="s">
        <v>6</v>
      </c>
      <c r="F35" s="26" t="s">
        <v>6</v>
      </c>
      <c r="G35" s="26" t="s">
        <v>6</v>
      </c>
      <c r="H35" s="26" t="s">
        <v>6</v>
      </c>
    </row>
    <row r="36" spans="1:8" ht="14.25">
      <c r="A36" s="27"/>
      <c r="B36" s="28"/>
      <c r="C36" s="29"/>
      <c r="D36" s="17"/>
      <c r="E36" s="17"/>
      <c r="F36" s="17"/>
      <c r="G36" s="17"/>
      <c r="H36" s="17"/>
    </row>
    <row r="37" spans="1:8" ht="15">
      <c r="A37" s="30" t="s">
        <v>5</v>
      </c>
      <c r="B37" s="20"/>
      <c r="C37" s="31"/>
      <c r="D37" s="17"/>
      <c r="E37" s="17"/>
      <c r="F37" s="17"/>
      <c r="G37" s="17"/>
      <c r="H37" s="17"/>
    </row>
    <row r="38" spans="1:8" ht="15">
      <c r="A38" s="32"/>
      <c r="B38" s="62" t="s">
        <v>32</v>
      </c>
      <c r="C38" s="31"/>
      <c r="D38" s="33">
        <f>E22</f>
        <v>1033593.75</v>
      </c>
      <c r="E38" s="17">
        <f>+D38*1.02</f>
        <v>1054265.625</v>
      </c>
      <c r="F38" s="17">
        <f>+E38*1.02</f>
        <v>1075350.9375</v>
      </c>
      <c r="G38" s="17">
        <f>+F38*1.02</f>
        <v>1096857.95625</v>
      </c>
      <c r="H38" s="17">
        <f>+G38*1.02</f>
        <v>1118795.115375</v>
      </c>
    </row>
    <row r="39" spans="1:8" ht="15.75" thickBot="1">
      <c r="A39" s="34" t="s">
        <v>26</v>
      </c>
      <c r="B39" s="35"/>
      <c r="C39" s="36"/>
      <c r="D39" s="37">
        <f>+SUM(D38:D38)</f>
        <v>1033593.75</v>
      </c>
      <c r="E39" s="37">
        <f>+SUM(E38:E38)</f>
        <v>1054265.625</v>
      </c>
      <c r="F39" s="37">
        <f>+SUM(F38:F38)</f>
        <v>1075350.9375</v>
      </c>
      <c r="G39" s="37">
        <f>+SUM(G38:G38)</f>
        <v>1096857.95625</v>
      </c>
      <c r="H39" s="37">
        <f>+SUM(H38:H38)</f>
        <v>1118795.115375</v>
      </c>
    </row>
    <row r="40" spans="1:8" ht="15.75" thickTop="1">
      <c r="A40" s="38" t="s">
        <v>9</v>
      </c>
      <c r="B40" s="39"/>
      <c r="C40" s="40"/>
      <c r="D40" s="41"/>
      <c r="E40" s="41"/>
      <c r="F40" s="41"/>
      <c r="G40" s="41"/>
      <c r="H40" s="41"/>
    </row>
    <row r="41" spans="1:8" ht="23.25">
      <c r="A41" s="32"/>
      <c r="B41" s="61" t="s">
        <v>33</v>
      </c>
      <c r="C41" s="17"/>
      <c r="D41" s="33">
        <f>E14</f>
        <v>2199487.5</v>
      </c>
      <c r="E41" s="33">
        <f>E14</f>
        <v>2199487.5</v>
      </c>
      <c r="F41" s="33">
        <f>E14</f>
        <v>2199487.5</v>
      </c>
      <c r="G41" s="33">
        <f>E14</f>
        <v>2199487.5</v>
      </c>
      <c r="H41" s="33">
        <f>E14</f>
        <v>2199487.5</v>
      </c>
    </row>
    <row r="42" spans="1:8" ht="15">
      <c r="A42" s="32"/>
      <c r="B42" s="22" t="s">
        <v>39</v>
      </c>
      <c r="C42" s="17"/>
      <c r="D42" s="33">
        <v>0</v>
      </c>
      <c r="E42" s="33">
        <v>0</v>
      </c>
      <c r="F42" s="33">
        <v>0</v>
      </c>
      <c r="G42" s="33">
        <v>0</v>
      </c>
      <c r="H42" s="33">
        <v>0</v>
      </c>
    </row>
    <row r="43" spans="1:8" ht="15.75" thickBot="1">
      <c r="A43" s="42" t="s">
        <v>19</v>
      </c>
      <c r="B43" s="43"/>
      <c r="C43" s="44"/>
      <c r="D43" s="45">
        <f>SUM(D41:D42)</f>
        <v>2199487.5</v>
      </c>
      <c r="E43" s="45">
        <f>SUM(E41:E42)</f>
        <v>2199487.5</v>
      </c>
      <c r="F43" s="45">
        <f>SUM(F41:F42)</f>
        <v>2199487.5</v>
      </c>
      <c r="G43" s="45">
        <f>SUM(G41:G42)</f>
        <v>2199487.5</v>
      </c>
      <c r="H43" s="45">
        <f>SUM(H41:H42)</f>
        <v>2199487.5</v>
      </c>
    </row>
    <row r="44" spans="1:8" ht="15" thickTop="1">
      <c r="A44" s="46" t="s">
        <v>0</v>
      </c>
      <c r="B44" s="47"/>
      <c r="C44" s="48">
        <f>-C35</f>
        <v>-20000</v>
      </c>
      <c r="D44" s="48">
        <f>-D39+D43</f>
        <v>1165893.75</v>
      </c>
      <c r="E44" s="48">
        <f>-E39+E43</f>
        <v>1145221.875</v>
      </c>
      <c r="F44" s="48">
        <f>-F39+F43</f>
        <v>1124136.5625</v>
      </c>
      <c r="G44" s="48">
        <f>-G39+G43</f>
        <v>1102629.54375</v>
      </c>
      <c r="H44" s="48">
        <f>-H39+H43</f>
        <v>1080692.384625</v>
      </c>
    </row>
    <row r="45" spans="1:8" ht="15">
      <c r="A45" s="23" t="s">
        <v>18</v>
      </c>
      <c r="B45" s="49"/>
      <c r="C45" s="50">
        <f>C44</f>
        <v>-20000</v>
      </c>
      <c r="D45" s="25">
        <f>C45+D44</f>
        <v>1145893.75</v>
      </c>
      <c r="E45" s="25">
        <f>D45+E44</f>
        <v>2291115.625</v>
      </c>
      <c r="F45" s="25">
        <f>E45+F44</f>
        <v>3415252.1875</v>
      </c>
      <c r="G45" s="25">
        <f>F45+G44</f>
        <v>4517881.73125</v>
      </c>
      <c r="H45" s="25">
        <f>G45+H44</f>
        <v>5598574.115875</v>
      </c>
    </row>
    <row r="46" spans="1:8" ht="42" customHeight="1">
      <c r="A46" s="53" t="s">
        <v>34</v>
      </c>
      <c r="B46" s="83" t="s">
        <v>64</v>
      </c>
      <c r="C46" s="83"/>
      <c r="D46" s="83"/>
      <c r="E46" s="83"/>
      <c r="F46" s="83"/>
      <c r="G46" s="83"/>
      <c r="H46" s="83"/>
    </row>
    <row r="47" spans="1:8" ht="45" customHeight="1">
      <c r="A47" s="53" t="s">
        <v>35</v>
      </c>
      <c r="B47" s="77" t="s">
        <v>65</v>
      </c>
      <c r="C47" s="77"/>
      <c r="D47" s="77"/>
      <c r="E47" s="77"/>
      <c r="F47" s="77"/>
      <c r="G47" s="77"/>
      <c r="H47" s="77"/>
    </row>
    <row r="48" spans="1:8" ht="15">
      <c r="A48" s="4"/>
      <c r="B48" s="65" t="s">
        <v>20</v>
      </c>
      <c r="C48" s="64"/>
      <c r="D48" s="64"/>
      <c r="E48" s="64"/>
      <c r="F48" s="64"/>
      <c r="G48" s="64"/>
      <c r="H48" s="64"/>
    </row>
    <row r="49" spans="1:8" ht="14.25">
      <c r="A49" s="3"/>
      <c r="B49" s="66" t="s">
        <v>21</v>
      </c>
      <c r="C49" s="67"/>
      <c r="D49" s="67"/>
      <c r="E49" s="67"/>
      <c r="F49" s="67"/>
      <c r="G49" s="67"/>
      <c r="H49" s="67"/>
    </row>
    <row r="50" spans="1:8" ht="14.25">
      <c r="A50" s="3"/>
      <c r="B50" s="68" t="s">
        <v>22</v>
      </c>
      <c r="C50" s="67"/>
      <c r="D50" s="67"/>
      <c r="E50" s="67"/>
      <c r="F50" s="67"/>
      <c r="G50" s="67"/>
      <c r="H50" s="67"/>
    </row>
    <row r="51" spans="1:8" ht="14.25">
      <c r="A51" s="3"/>
      <c r="B51" s="68" t="s">
        <v>23</v>
      </c>
      <c r="C51" s="67"/>
      <c r="D51" s="67"/>
      <c r="E51" s="67"/>
      <c r="F51" s="67"/>
      <c r="G51" s="67"/>
      <c r="H51" s="67"/>
    </row>
    <row r="52" spans="1:8" ht="14.25">
      <c r="A52" s="3"/>
      <c r="B52" s="68" t="s">
        <v>24</v>
      </c>
      <c r="C52" s="67"/>
      <c r="D52" s="67"/>
      <c r="E52" s="67"/>
      <c r="F52" s="67"/>
      <c r="G52" s="67"/>
      <c r="H52" s="67"/>
    </row>
    <row r="53" spans="1:8" ht="14.25">
      <c r="A53" s="3"/>
      <c r="B53" s="68" t="s">
        <v>25</v>
      </c>
      <c r="C53" s="67"/>
      <c r="D53" s="67"/>
      <c r="E53" s="67"/>
      <c r="F53" s="67"/>
      <c r="G53" s="67"/>
      <c r="H53" s="67"/>
    </row>
    <row r="54" ht="12.75">
      <c r="A54" s="3"/>
    </row>
    <row r="55" ht="12.75">
      <c r="A55" s="3"/>
    </row>
    <row r="57" ht="12.75">
      <c r="B57" s="1"/>
    </row>
    <row r="58" ht="15.75">
      <c r="B58" s="5"/>
    </row>
    <row r="61" ht="12.75">
      <c r="B61" s="1"/>
    </row>
  </sheetData>
  <sheetProtection/>
  <mergeCells count="24">
    <mergeCell ref="B18:D18"/>
    <mergeCell ref="B19:D19"/>
    <mergeCell ref="B5:E5"/>
    <mergeCell ref="B12:D12"/>
    <mergeCell ref="B13:D13"/>
    <mergeCell ref="B14:D14"/>
    <mergeCell ref="B16:D16"/>
    <mergeCell ref="B17:D17"/>
    <mergeCell ref="B24:H24"/>
    <mergeCell ref="B25:H25"/>
    <mergeCell ref="B27:H27"/>
    <mergeCell ref="B20:D20"/>
    <mergeCell ref="B21:D21"/>
    <mergeCell ref="B22:D22"/>
    <mergeCell ref="B47:H47"/>
    <mergeCell ref="B7:D7"/>
    <mergeCell ref="B8:D8"/>
    <mergeCell ref="B9:D9"/>
    <mergeCell ref="B10:D10"/>
    <mergeCell ref="B28:H28"/>
    <mergeCell ref="B23:G23"/>
    <mergeCell ref="B15:D15"/>
    <mergeCell ref="B46:H46"/>
    <mergeCell ref="B26:G26"/>
  </mergeCells>
  <printOptions/>
  <pageMargins left="0.8" right="0.8" top="0.69" bottom="1" header="0.5" footer="0.5"/>
  <pageSetup fitToHeight="1"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sheetPr>
    <pageSetUpPr fitToPage="1"/>
  </sheetPr>
  <dimension ref="B1:I42"/>
  <sheetViews>
    <sheetView tabSelected="1" zoomScale="75" zoomScaleNormal="75" zoomScalePageLayoutView="0" workbookViewId="0" topLeftCell="A4">
      <selection activeCell="B11" sqref="B11"/>
    </sheetView>
  </sheetViews>
  <sheetFormatPr defaultColWidth="9.140625" defaultRowHeight="12.75"/>
  <cols>
    <col min="2" max="2" width="61.28125" style="0" customWidth="1"/>
    <col min="3" max="3" width="12.57421875" style="0" customWidth="1"/>
    <col min="4" max="4" width="39.421875" style="0" customWidth="1"/>
    <col min="5" max="5" width="17.00390625" style="0" customWidth="1"/>
    <col min="6" max="6" width="12.7109375" style="0" customWidth="1"/>
    <col min="7" max="7" width="12.00390625" style="0" customWidth="1"/>
    <col min="8" max="8" width="12.140625" style="0" customWidth="1"/>
    <col min="9" max="9" width="17.00390625" style="0" customWidth="1"/>
  </cols>
  <sheetData>
    <row r="1" ht="15.75">
      <c r="B1" s="75" t="s">
        <v>47</v>
      </c>
    </row>
    <row r="2" ht="12.75">
      <c r="B2" s="73"/>
    </row>
    <row r="3" spans="2:5" ht="69" customHeight="1">
      <c r="B3" s="90" t="s">
        <v>66</v>
      </c>
      <c r="C3" s="89"/>
      <c r="D3" s="89"/>
      <c r="E3" s="89"/>
    </row>
    <row r="4" spans="2:5" ht="14.25">
      <c r="B4" s="78" t="s">
        <v>10</v>
      </c>
      <c r="C4" s="79"/>
      <c r="D4" s="80"/>
      <c r="E4" s="9">
        <v>35000</v>
      </c>
    </row>
    <row r="5" spans="2:5" ht="14.25">
      <c r="B5" s="78" t="s">
        <v>40</v>
      </c>
      <c r="C5" s="79"/>
      <c r="D5" s="80"/>
      <c r="E5" s="14">
        <v>0.25</v>
      </c>
    </row>
    <row r="6" spans="2:5" ht="14.25">
      <c r="B6" s="78" t="s">
        <v>41</v>
      </c>
      <c r="C6" s="79"/>
      <c r="D6" s="80"/>
      <c r="E6" s="74">
        <f>E4*E5</f>
        <v>8750</v>
      </c>
    </row>
    <row r="7" spans="2:5" ht="14.25">
      <c r="B7" s="78" t="s">
        <v>49</v>
      </c>
      <c r="C7" s="79"/>
      <c r="D7" s="80"/>
      <c r="E7" s="14">
        <v>0.07</v>
      </c>
    </row>
    <row r="8" spans="2:5" ht="31.5" customHeight="1">
      <c r="B8" s="69" t="s">
        <v>50</v>
      </c>
      <c r="C8" s="70"/>
      <c r="D8" s="71"/>
      <c r="E8" s="14">
        <v>0.65</v>
      </c>
    </row>
    <row r="9" spans="2:5" ht="14.25">
      <c r="B9" s="78" t="s">
        <v>42</v>
      </c>
      <c r="C9" s="79"/>
      <c r="D9" s="80"/>
      <c r="E9" s="14">
        <v>0.22</v>
      </c>
    </row>
    <row r="10" spans="2:5" ht="28.5">
      <c r="B10" s="69" t="s">
        <v>43</v>
      </c>
      <c r="C10" s="70"/>
      <c r="D10" s="71"/>
      <c r="E10" s="74">
        <f>E6*E7*E9</f>
        <v>134.75000000000003</v>
      </c>
    </row>
    <row r="11" spans="2:5" ht="47.25" customHeight="1">
      <c r="B11" s="69" t="s">
        <v>53</v>
      </c>
      <c r="C11" s="70"/>
      <c r="D11" s="71"/>
      <c r="E11" s="11">
        <v>9600</v>
      </c>
    </row>
    <row r="12" spans="2:5" ht="14.25">
      <c r="B12" s="78" t="s">
        <v>12</v>
      </c>
      <c r="C12" s="79"/>
      <c r="D12" s="80"/>
      <c r="E12" s="12">
        <f>E10*E11</f>
        <v>1293600.0000000002</v>
      </c>
    </row>
    <row r="13" spans="2:5" ht="14.25">
      <c r="B13" s="78" t="s">
        <v>55</v>
      </c>
      <c r="C13" s="79"/>
      <c r="D13" s="80"/>
      <c r="E13" s="9">
        <v>39</v>
      </c>
    </row>
    <row r="14" spans="2:5" ht="14.25">
      <c r="B14" s="78" t="s">
        <v>15</v>
      </c>
      <c r="C14" s="79"/>
      <c r="D14" s="80"/>
      <c r="E14" s="9">
        <f>(E6*E13)/60</f>
        <v>5687.5</v>
      </c>
    </row>
    <row r="15" spans="2:5" ht="14.25">
      <c r="B15" s="78" t="s">
        <v>14</v>
      </c>
      <c r="C15" s="79"/>
      <c r="D15" s="80"/>
      <c r="E15" s="13">
        <f>E14/2080</f>
        <v>2.734375</v>
      </c>
    </row>
    <row r="16" spans="2:5" ht="14.25">
      <c r="B16" s="78" t="s">
        <v>38</v>
      </c>
      <c r="C16" s="79"/>
      <c r="D16" s="80"/>
      <c r="E16" s="13">
        <f>E15*1.3</f>
        <v>3.5546875</v>
      </c>
    </row>
    <row r="17" spans="2:5" ht="14.25">
      <c r="B17" s="78" t="s">
        <v>56</v>
      </c>
      <c r="C17" s="79"/>
      <c r="D17" s="80"/>
      <c r="E17" s="9">
        <v>100000</v>
      </c>
    </row>
    <row r="18" spans="2:5" ht="14.25">
      <c r="B18" s="78" t="s">
        <v>16</v>
      </c>
      <c r="C18" s="79"/>
      <c r="D18" s="80"/>
      <c r="E18" s="14">
        <v>0.35</v>
      </c>
    </row>
    <row r="19" spans="2:5" ht="14.25">
      <c r="B19" s="85" t="s">
        <v>17</v>
      </c>
      <c r="C19" s="86"/>
      <c r="D19" s="87"/>
      <c r="E19" s="15">
        <f>E17+(E17*E18)</f>
        <v>135000</v>
      </c>
    </row>
    <row r="20" spans="2:5" ht="14.25">
      <c r="B20" s="78" t="s">
        <v>1</v>
      </c>
      <c r="C20" s="79"/>
      <c r="D20" s="80"/>
      <c r="E20" s="16">
        <f>E16*E19</f>
        <v>479882.8125</v>
      </c>
    </row>
    <row r="21" spans="2:5" ht="14.25">
      <c r="B21" s="72"/>
      <c r="C21" s="72"/>
      <c r="D21" s="72"/>
      <c r="E21" s="76"/>
    </row>
    <row r="22" ht="12.75">
      <c r="B22" t="s">
        <v>51</v>
      </c>
    </row>
    <row r="23" ht="12.75">
      <c r="B23" t="s">
        <v>52</v>
      </c>
    </row>
    <row r="24" ht="12.75">
      <c r="B24" t="s">
        <v>54</v>
      </c>
    </row>
    <row r="28" ht="18">
      <c r="B28" s="52" t="s">
        <v>48</v>
      </c>
    </row>
    <row r="29" spans="2:9" ht="15">
      <c r="B29" s="19"/>
      <c r="C29" s="51"/>
      <c r="D29" s="17" t="s">
        <v>2</v>
      </c>
      <c r="E29" s="18">
        <v>1</v>
      </c>
      <c r="F29" s="18">
        <v>2</v>
      </c>
      <c r="G29" s="18">
        <v>3</v>
      </c>
      <c r="H29" s="18">
        <v>4</v>
      </c>
      <c r="I29" s="18">
        <v>5</v>
      </c>
    </row>
    <row r="30" spans="2:9" ht="15">
      <c r="B30" s="19" t="s">
        <v>3</v>
      </c>
      <c r="C30" s="20"/>
      <c r="D30" s="17"/>
      <c r="E30" s="17"/>
      <c r="F30" s="17"/>
      <c r="G30" s="17"/>
      <c r="H30" s="17"/>
      <c r="I30" s="17"/>
    </row>
    <row r="31" spans="2:9" ht="15">
      <c r="B31" s="21"/>
      <c r="C31" s="22" t="s">
        <v>8</v>
      </c>
      <c r="D31" s="17">
        <v>0</v>
      </c>
      <c r="E31" s="17"/>
      <c r="F31" s="17"/>
      <c r="G31" s="17"/>
      <c r="H31" s="17"/>
      <c r="I31" s="17"/>
    </row>
    <row r="32" spans="2:9" ht="15">
      <c r="B32" s="23" t="s">
        <v>4</v>
      </c>
      <c r="C32" s="24"/>
      <c r="D32" s="25">
        <f>+SUM(D31:D31)</f>
        <v>0</v>
      </c>
      <c r="E32" s="26" t="s">
        <v>6</v>
      </c>
      <c r="F32" s="26" t="s">
        <v>6</v>
      </c>
      <c r="G32" s="26" t="s">
        <v>6</v>
      </c>
      <c r="H32" s="26" t="s">
        <v>6</v>
      </c>
      <c r="I32" s="26" t="s">
        <v>6</v>
      </c>
    </row>
    <row r="33" spans="2:9" ht="14.25">
      <c r="B33" s="27"/>
      <c r="C33" s="28"/>
      <c r="D33" s="29"/>
      <c r="E33" s="17"/>
      <c r="F33" s="17"/>
      <c r="G33" s="17"/>
      <c r="H33" s="17"/>
      <c r="I33" s="17"/>
    </row>
    <row r="34" spans="2:9" ht="15">
      <c r="B34" s="30" t="s">
        <v>5</v>
      </c>
      <c r="C34" s="20"/>
      <c r="D34" s="31"/>
      <c r="E34" s="17"/>
      <c r="F34" s="17"/>
      <c r="G34" s="17"/>
      <c r="H34" s="17"/>
      <c r="I34" s="17"/>
    </row>
    <row r="35" spans="2:9" ht="25.5" customHeight="1">
      <c r="B35" s="32"/>
      <c r="C35" s="62" t="s">
        <v>45</v>
      </c>
      <c r="D35" s="31"/>
      <c r="E35" s="33">
        <f>E20</f>
        <v>479882.8125</v>
      </c>
      <c r="F35" s="17">
        <f>+E35*1.05</f>
        <v>503876.953125</v>
      </c>
      <c r="G35" s="17">
        <f>+F35*1.05</f>
        <v>529070.80078125</v>
      </c>
      <c r="H35" s="17">
        <f>+G35*1.05</f>
        <v>555524.3408203125</v>
      </c>
      <c r="I35" s="17">
        <f>+H35*1.05</f>
        <v>583300.5578613281</v>
      </c>
    </row>
    <row r="36" spans="2:9" ht="15.75" thickBot="1">
      <c r="B36" s="34" t="s">
        <v>26</v>
      </c>
      <c r="C36" s="35"/>
      <c r="D36" s="36"/>
      <c r="E36" s="37">
        <f>+SUM(E35:E35)</f>
        <v>479882.8125</v>
      </c>
      <c r="F36" s="37">
        <f>+SUM(F35:F35)</f>
        <v>503876.953125</v>
      </c>
      <c r="G36" s="37">
        <f>+SUM(G35:G35)</f>
        <v>529070.80078125</v>
      </c>
      <c r="H36" s="37">
        <f>+SUM(H35:H35)</f>
        <v>555524.3408203125</v>
      </c>
      <c r="I36" s="37">
        <f>+SUM(I35:I35)</f>
        <v>583300.5578613281</v>
      </c>
    </row>
    <row r="37" spans="2:9" ht="15.75" thickTop="1">
      <c r="B37" s="38" t="s">
        <v>9</v>
      </c>
      <c r="C37" s="39"/>
      <c r="D37" s="40"/>
      <c r="E37" s="41"/>
      <c r="F37" s="41"/>
      <c r="G37" s="41"/>
      <c r="H37" s="41"/>
      <c r="I37" s="41"/>
    </row>
    <row r="38" spans="2:9" ht="23.25">
      <c r="B38" s="32"/>
      <c r="C38" s="61" t="s">
        <v>44</v>
      </c>
      <c r="D38" s="17"/>
      <c r="E38" s="33">
        <f>E12</f>
        <v>1293600.0000000002</v>
      </c>
      <c r="F38" s="33">
        <f>E12</f>
        <v>1293600.0000000002</v>
      </c>
      <c r="G38" s="33">
        <f>E12</f>
        <v>1293600.0000000002</v>
      </c>
      <c r="H38" s="33">
        <f>E12</f>
        <v>1293600.0000000002</v>
      </c>
      <c r="I38" s="33">
        <f>E12</f>
        <v>1293600.0000000002</v>
      </c>
    </row>
    <row r="39" spans="2:9" ht="15">
      <c r="B39" s="32"/>
      <c r="C39" s="22" t="s">
        <v>39</v>
      </c>
      <c r="D39" s="17"/>
      <c r="E39" s="33">
        <v>0</v>
      </c>
      <c r="F39" s="33">
        <v>0</v>
      </c>
      <c r="G39" s="33">
        <v>0</v>
      </c>
      <c r="H39" s="33">
        <v>0</v>
      </c>
      <c r="I39" s="33">
        <v>0</v>
      </c>
    </row>
    <row r="40" spans="2:9" ht="15.75" thickBot="1">
      <c r="B40" s="42" t="s">
        <v>19</v>
      </c>
      <c r="C40" s="43"/>
      <c r="D40" s="44"/>
      <c r="E40" s="45">
        <f>SUM(E38:E39)</f>
        <v>1293600.0000000002</v>
      </c>
      <c r="F40" s="45">
        <f>SUM(F38:F39)</f>
        <v>1293600.0000000002</v>
      </c>
      <c r="G40" s="45">
        <f>SUM(G38:G39)</f>
        <v>1293600.0000000002</v>
      </c>
      <c r="H40" s="45">
        <f>SUM(H38:H39)</f>
        <v>1293600.0000000002</v>
      </c>
      <c r="I40" s="45">
        <f>SUM(I38:I39)</f>
        <v>1293600.0000000002</v>
      </c>
    </row>
    <row r="41" spans="2:9" ht="15" thickTop="1">
      <c r="B41" s="46" t="s">
        <v>0</v>
      </c>
      <c r="C41" s="47"/>
      <c r="D41" s="48">
        <f>-D32</f>
        <v>0</v>
      </c>
      <c r="E41" s="48">
        <f>-E36+E40</f>
        <v>813717.1875000002</v>
      </c>
      <c r="F41" s="48">
        <f>-F36+F40</f>
        <v>789723.0468750002</v>
      </c>
      <c r="G41" s="48">
        <f>-G36+G40</f>
        <v>764529.1992187502</v>
      </c>
      <c r="H41" s="48">
        <f>-H36+H40</f>
        <v>738075.6591796877</v>
      </c>
      <c r="I41" s="48">
        <f>-I36+I40</f>
        <v>710299.4421386721</v>
      </c>
    </row>
    <row r="42" spans="2:9" ht="15">
      <c r="B42" s="23" t="s">
        <v>18</v>
      </c>
      <c r="C42" s="49"/>
      <c r="D42" s="50">
        <f>D41</f>
        <v>0</v>
      </c>
      <c r="E42" s="25">
        <f>D42+E41</f>
        <v>813717.1875000002</v>
      </c>
      <c r="F42" s="25">
        <f>E42+F41</f>
        <v>1603440.2343750005</v>
      </c>
      <c r="G42" s="25">
        <f>F42+G41</f>
        <v>2367969.433593751</v>
      </c>
      <c r="H42" s="25">
        <f>G42+H41</f>
        <v>3106045.0927734384</v>
      </c>
      <c r="I42" s="25">
        <f>H42+I41</f>
        <v>3816344.5349121103</v>
      </c>
    </row>
  </sheetData>
  <sheetProtection/>
  <mergeCells count="15">
    <mergeCell ref="B4:D4"/>
    <mergeCell ref="B5:D5"/>
    <mergeCell ref="B6:D6"/>
    <mergeCell ref="B18:D18"/>
    <mergeCell ref="B19:D19"/>
    <mergeCell ref="B20:D20"/>
    <mergeCell ref="B3:E3"/>
    <mergeCell ref="B14:D14"/>
    <mergeCell ref="B15:D15"/>
    <mergeCell ref="B16:D16"/>
    <mergeCell ref="B17:D17"/>
    <mergeCell ref="B7:D7"/>
    <mergeCell ref="B9:D9"/>
    <mergeCell ref="B12:D12"/>
    <mergeCell ref="B13:D13"/>
  </mergeCells>
  <printOptions/>
  <pageMargins left="0.75" right="0.75" top="1" bottom="1" header="0.5" footer="0.5"/>
  <pageSetup fitToHeight="1" fitToWidth="1"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 Health - UWHC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Systems</dc:creator>
  <cp:keywords/>
  <dc:description/>
  <cp:lastModifiedBy>Caitlin MacFarland</cp:lastModifiedBy>
  <cp:lastPrinted>2012-11-26T18:49:03Z</cp:lastPrinted>
  <dcterms:created xsi:type="dcterms:W3CDTF">2003-01-14T14:18:37Z</dcterms:created>
  <dcterms:modified xsi:type="dcterms:W3CDTF">2017-09-12T14:38:08Z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